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50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<sst xmlns="http://schemas.openxmlformats.org/spreadsheetml/2006/main" count="28" uniqueCount="27">
  <si>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>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</si>
  <si>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</si>
  <si>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</si>
  <si>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</si>
  <si>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</si>
  <si>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</si>
  <si>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</si>
  <si>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</si>
  <si>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</si>
  <si>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</si>
  <si>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</si>
  <si>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</si>
  <si>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6-0 6-0</t>
  </si>
  <si>
    <t>4-0 4-0</t>
  </si>
  <si>
    <t>6-3 6-2</t>
  </si>
  <si>
    <t>4-1 4-0</t>
  </si>
  <si>
    <t xml:space="preserve"> </t>
  </si>
  <si>
    <t>seeded players</t>
  </si>
  <si>
    <t>επιδιαιτητής</t>
  </si>
  <si>
    <t>ok</t>
  </si>
  <si>
    <t>BoldNames</t>
  </si>
  <si>
    <t>Ο ΤΕΛΙΚΟΣ ΔΙΕΚΟΠΗ ΛΟΓΩ ΒΡΟΧΗΣ ΣΤΟ ΣΚΟΡ:</t>
  </si>
  <si>
    <t>ΚΑΜΠΙΩΤΗ</t>
  </si>
  <si>
    <t>ΜΠΟΥΡΤΣΟΥΚΛΗ</t>
  </si>
  <si>
    <t>4  6</t>
  </si>
  <si>
    <t>6  1</t>
  </si>
  <si>
    <t>ΣΕΡΒΙΡΕΙ Η ΜΠΟΥΡΤΣΟΥΚΛΗ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</si>
</sst>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i/>
      <sz val="7"/>
      <color indexed="55"/>
      <name val="Arial"/>
      <family val="2"/>
    </font>
    <font>
      <i/>
      <u val="single"/>
      <sz val="7"/>
      <name val="Arial"/>
      <family val="2"/>
    </font>
    <font>
      <b/>
      <i/>
      <sz val="7"/>
      <name val="Arial"/>
      <family val="2"/>
    </font>
    <font>
      <b/>
      <i/>
      <u val="single"/>
      <sz val="7"/>
      <color indexed="22"/>
      <name val="Arial"/>
      <family val="2"/>
    </font>
    <font>
      <i/>
      <sz val="7"/>
      <color indexed="2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/>
    </xf>
    <xf numFmtId="0" fontId="16" fillId="0" borderId="1" xfId="0" applyNumberFormat="1" applyFont="1" applyFill="1" applyBorder="1" applyAlignment="1" applyProtection="1" quotePrefix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18" fillId="2" borderId="1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0" fontId="15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18" fillId="2" borderId="4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8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/>
      <protection/>
    </xf>
    <xf numFmtId="0" fontId="17" fillId="2" borderId="4" xfId="0" applyNumberFormat="1" applyFont="1" applyFill="1" applyBorder="1" applyAlignment="1" applyProtection="1">
      <alignment horizontal="left" vertical="center"/>
      <protection/>
    </xf>
    <xf numFmtId="0" fontId="16" fillId="2" borderId="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 quotePrefix="1">
      <alignment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 quotePrefix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nis\Documents\&#964;&#959;&#965;&#961;&#957;&#959;&#965;&#940;\E3%20Kalamata\4&#959;_&#917;3_2014_&#922;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</sheetNames>
    <sheetDataSet>
      <sheetData sheetId="0">
        <row r="3">
          <cell r="B3" t="str">
            <v>ΣΤ' ΕΝΩΣΗ</v>
          </cell>
        </row>
        <row r="4">
          <cell r="B4" t="str">
            <v>4ο Ε3</v>
          </cell>
        </row>
        <row r="6">
          <cell r="B6" t="str">
            <v>Ο.Α.ΚΑΛΑΜΑΤΑΣ</v>
          </cell>
        </row>
        <row r="7">
          <cell r="B7" t="str">
            <v>Κ16</v>
          </cell>
        </row>
        <row r="8">
          <cell r="B8" t="str">
            <v>4</v>
          </cell>
        </row>
        <row r="9">
          <cell r="B9" t="str">
            <v>5 Οκτ 2014</v>
          </cell>
        </row>
        <row r="10">
          <cell r="B10" t="str">
            <v>ΧΡΗΣΤΟΣ ΧΡΙΣΤΟΠΟΥΛΟΣ</v>
          </cell>
        </row>
        <row r="12">
          <cell r="G12">
            <v>1</v>
          </cell>
          <cell r="H12">
            <v>1</v>
          </cell>
        </row>
        <row r="13">
          <cell r="G13">
            <v>2</v>
          </cell>
          <cell r="H13">
            <v>2</v>
          </cell>
        </row>
        <row r="14">
          <cell r="G14">
            <v>3</v>
          </cell>
          <cell r="H14">
            <v>7</v>
          </cell>
        </row>
        <row r="15">
          <cell r="G15">
            <v>4</v>
          </cell>
          <cell r="H15">
            <v>3</v>
          </cell>
        </row>
        <row r="16">
          <cell r="G16">
            <v>5</v>
          </cell>
          <cell r="H16">
            <v>8</v>
          </cell>
        </row>
        <row r="17">
          <cell r="G17">
            <v>6</v>
          </cell>
          <cell r="H17">
            <v>5</v>
          </cell>
        </row>
        <row r="18">
          <cell r="B18">
            <v>0</v>
          </cell>
          <cell r="G18">
            <v>7</v>
          </cell>
          <cell r="H18">
            <v>6</v>
          </cell>
        </row>
        <row r="19">
          <cell r="B19">
            <v>2</v>
          </cell>
          <cell r="G19">
            <v>8</v>
          </cell>
          <cell r="H19">
            <v>4</v>
          </cell>
        </row>
        <row r="24">
          <cell r="B24" t="str">
            <v>ok</v>
          </cell>
        </row>
      </sheetData>
      <sheetData sheetId="1">
        <row r="3">
          <cell r="A3">
            <v>1</v>
          </cell>
          <cell r="C3">
            <v>28404</v>
          </cell>
          <cell r="D3" t="str">
            <v>ΚΑΜΠΙΩΤΗ ΑΘΗΝΑ</v>
          </cell>
          <cell r="E3" t="str">
            <v>ΖΑΟΑ</v>
          </cell>
          <cell r="F3">
            <v>115</v>
          </cell>
        </row>
        <row r="4">
          <cell r="A4">
            <v>2</v>
          </cell>
          <cell r="C4">
            <v>28813</v>
          </cell>
          <cell r="D4" t="str">
            <v>ΓΡΙΝΕΖΟΥ ΣΟΦΙΑ</v>
          </cell>
          <cell r="E4" t="str">
            <v>ΡΗΓΑΣ ΑΟΑΑ</v>
          </cell>
          <cell r="F4">
            <v>92</v>
          </cell>
        </row>
        <row r="5">
          <cell r="A5">
            <v>3</v>
          </cell>
          <cell r="C5">
            <v>26219</v>
          </cell>
          <cell r="D5" t="str">
            <v>ΚΩΣΤΑ ΑΓΓΕΛΙΚΗ</v>
          </cell>
          <cell r="E5" t="str">
            <v>ΚΟΑ</v>
          </cell>
          <cell r="F5">
            <v>92</v>
          </cell>
        </row>
        <row r="6">
          <cell r="A6">
            <v>4</v>
          </cell>
          <cell r="C6">
            <v>22546</v>
          </cell>
          <cell r="D6" t="str">
            <v>ΑΝΤΩΝΙΟΥ ΑΝΑΣΤΑΣΙΑ</v>
          </cell>
          <cell r="E6" t="str">
            <v>ΑΕΚ ΤΡΙΠΟΛΗΣ</v>
          </cell>
          <cell r="F6">
            <v>67</v>
          </cell>
        </row>
        <row r="7">
          <cell r="A7">
            <v>5</v>
          </cell>
          <cell r="C7">
            <v>25783</v>
          </cell>
          <cell r="D7" t="str">
            <v>ΜΠΟΥΡΤΣΟΥΚΛΗ ΡΑΦΑΗΛΙΑ</v>
          </cell>
          <cell r="E7" t="str">
            <v>ΑΕΚ ΤΡΙΠΟΛΗΣ</v>
          </cell>
          <cell r="F7">
            <v>48</v>
          </cell>
        </row>
        <row r="8">
          <cell r="A8">
            <v>6</v>
          </cell>
          <cell r="C8">
            <v>29876</v>
          </cell>
          <cell r="D8" t="str">
            <v>ΤΣΑΓΓΑΡΗ-ΝΤΥΜΠΑΛΣΚΑ ΕΛΙΣΑΒΕΤ</v>
          </cell>
          <cell r="E8" t="str">
            <v>ΑΕΤ ΝΙΚΗ</v>
          </cell>
          <cell r="F8">
            <v>33</v>
          </cell>
        </row>
        <row r="9">
          <cell r="A9">
            <v>7</v>
          </cell>
          <cell r="C9">
            <v>36625</v>
          </cell>
          <cell r="D9" t="str">
            <v>ΗΛΙΟΠΟΥΛΟΥ ΑΝΝΑ</v>
          </cell>
          <cell r="E9" t="str">
            <v>Ο.Α.ΚΑΛΑΜΑΤΑΣ</v>
          </cell>
          <cell r="F9">
            <v>0</v>
          </cell>
        </row>
        <row r="10">
          <cell r="A10">
            <v>8</v>
          </cell>
          <cell r="C10">
            <v>35616</v>
          </cell>
          <cell r="D10" t="str">
            <v>ΚΑΡΟΥΜΠΑΛΗ ΒΑΣΙΛΙΚΗ</v>
          </cell>
          <cell r="E10" t="str">
            <v>Ο.Α.ΚΑΛΑΜΑΤΑΣ</v>
          </cell>
          <cell r="F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L22" sqref="L22"/>
    </sheetView>
  </sheetViews>
  <sheetFormatPr defaultColWidth="5.140625" defaultRowHeight="12.75"/>
  <cols>
    <col min="1" max="1" width="2.421875" style="4" bestFit="1" customWidth="1"/>
    <col min="2" max="2" width="2.28125" style="4" hidden="1" customWidth="1"/>
    <col min="3" max="3" width="5.8515625" style="10" hidden="1" customWidth="1"/>
    <col min="4" max="4" width="5.28125" style="11" hidden="1" customWidth="1"/>
    <col min="5" max="5" width="4.57421875" style="11" hidden="1" customWidth="1"/>
    <col min="6" max="6" width="3.00390625" style="4" hidden="1" customWidth="1"/>
    <col min="7" max="7" width="3.421875" style="10" bestFit="1" customWidth="1"/>
    <col min="8" max="8" width="4.7109375" style="10" customWidth="1"/>
    <col min="9" max="9" width="5.140625" style="12" customWidth="1"/>
    <col min="10" max="10" width="30.7109375" style="4" customWidth="1"/>
    <col min="11" max="11" width="16.7109375" style="4" hidden="1" customWidth="1"/>
    <col min="12" max="12" width="25.7109375" style="4" customWidth="1"/>
    <col min="13" max="13" width="0.85546875" style="78" customWidth="1"/>
    <col min="14" max="14" width="14.00390625" style="4" customWidth="1"/>
    <col min="15" max="15" width="0.85546875" style="39" customWidth="1"/>
    <col min="16" max="16" width="11.7109375" style="4" customWidth="1"/>
    <col min="17" max="17" width="1.421875" style="39" bestFit="1" customWidth="1"/>
    <col min="18" max="18" width="10.7109375" style="3" customWidth="1"/>
    <col min="19" max="19" width="5.140625" style="3" customWidth="1"/>
    <col min="20" max="16384" width="5.140625" style="4" customWidth="1"/>
  </cols>
  <sheetData>
    <row r="1" spans="1:18" ht="17.25" customHeight="1">
      <c r="A1" s="92" t="str">
        <f>'[1]Setup'!B3&amp;", "&amp;'[1]Setup'!B4&amp;", "&amp;'[1]Setup'!B6&amp;", "&amp;'[1]Setup'!B8&amp;"-"&amp;'[1]Setup'!B9</f>
        <v>ΣΤ' ΕΝΩΣΗ, 4ο Ε3, Ο.Α.ΚΑΛΑΜΑΤΑΣ, 4-5 Οκτ 2014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"/>
      <c r="R1" s="2" t="str">
        <f>'[1]Setup'!B7</f>
        <v>Κ16</v>
      </c>
    </row>
    <row r="2" spans="1:18" ht="11.25">
      <c r="A2" s="5"/>
      <c r="B2" s="6">
        <f>'[1]Setup'!$B$18</f>
        <v>0</v>
      </c>
      <c r="C2" s="6"/>
      <c r="D2" s="7"/>
      <c r="E2" s="7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0:18" ht="11.25">
      <c r="J3" s="93">
        <v>8</v>
      </c>
      <c r="K3" s="93"/>
      <c r="L3" s="93"/>
      <c r="M3" s="14"/>
      <c r="N3" s="13">
        <v>4</v>
      </c>
      <c r="O3" s="15"/>
      <c r="P3" s="13">
        <v>2</v>
      </c>
      <c r="Q3" s="15"/>
      <c r="R3" s="16" t="s">
        <v>0</v>
      </c>
    </row>
    <row r="4" spans="1:19" s="10" customFormat="1" ht="12" customHeight="1">
      <c r="A4" s="17" t="s">
        <v>1</v>
      </c>
      <c r="B4" s="18"/>
      <c r="C4" s="19" t="s">
        <v>2</v>
      </c>
      <c r="D4" s="19" t="s">
        <v>3</v>
      </c>
      <c r="E4" s="19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20" t="s">
        <v>9</v>
      </c>
      <c r="K4" s="19" t="s">
        <v>10</v>
      </c>
      <c r="L4" s="20" t="s">
        <v>11</v>
      </c>
      <c r="M4" s="21"/>
      <c r="O4" s="22"/>
      <c r="Q4" s="22"/>
      <c r="R4" s="23"/>
      <c r="S4" s="23"/>
    </row>
    <row r="5" spans="1:18" ht="12" customHeight="1">
      <c r="A5" s="24">
        <v>1</v>
      </c>
      <c r="B5" s="25">
        <v>1</v>
      </c>
      <c r="C5" s="26"/>
      <c r="D5" s="27"/>
      <c r="E5" s="28">
        <v>0</v>
      </c>
      <c r="F5" s="29">
        <f>IF(NOT($G5="-"),VLOOKUP($G5,'[1]DrawPrep'!$A$3:$G$10,2,FALSE),"")</f>
        <v>0</v>
      </c>
      <c r="G5" s="30">
        <f>VLOOKUP($B5,'[1]Setup'!$G$12:$H$27,2,FALSE)</f>
        <v>1</v>
      </c>
      <c r="H5" s="31">
        <f>IF($G5&gt;0,VLOOKUP($G5,'[1]DrawPrep'!$A$3:$G$10,6,FALSE),0)</f>
        <v>115</v>
      </c>
      <c r="I5" s="32">
        <f>IF('[1]Setup'!$B$24="#",0,IF($G5&gt;0,VLOOKUP($G5,'[1]DrawPrep'!$A$3:$G$10,3,FALSE),0))</f>
        <v>28404</v>
      </c>
      <c r="J5" s="33" t="str">
        <f>IF($I5&gt;0,VLOOKUP($I5,'[1]DrawPrep'!$C$3:$G$10,2,FALSE),"bye")</f>
        <v>ΚΑΜΠΙΩΤΗ ΑΘΗΝΑ</v>
      </c>
      <c r="K5" s="33" t="str">
        <f aca="true" t="shared" si="0" ref="K5:K12">IF(NOT(I5&gt;0),"",IF(ISERROR(FIND("-",J5)),LEFT(J5,FIND(" ",J5)-1),IF(FIND("-",J5)&gt;FIND(" ",J5),LEFT(J5,FIND(" ",J5)-1),LEFT(J5,FIND("-",J5)-1))))</f>
        <v>ΚΑΜΠΙΩΤΗ</v>
      </c>
      <c r="L5" s="34" t="str">
        <f>IF($I5&gt;0,VLOOKUP($I5,'[1]DrawPrep'!$C$3:$G$10,3,FALSE),"")</f>
        <v>ΖΑΟΑ</v>
      </c>
      <c r="M5" s="35">
        <v>1</v>
      </c>
      <c r="N5" s="36" t="str">
        <f>UPPER(IF($A$2="R",IF(OR(M5=1,M5="a"),I5,IF(OR(M5=2,M5="b"),I6,"")),IF(OR(M5=1,M5="1"),K5,IF(OR(M5=2,M5="b"),K6,""))))</f>
        <v>ΚΑΜΠΙΩΤΗ</v>
      </c>
      <c r="O5" s="37"/>
      <c r="P5" s="38"/>
      <c r="R5" s="38"/>
    </row>
    <row r="6" spans="1:18" ht="12" customHeight="1">
      <c r="A6" s="40">
        <v>2</v>
      </c>
      <c r="B6" s="41">
        <f>1-D6+2</f>
        <v>3</v>
      </c>
      <c r="C6" s="42">
        <v>1</v>
      </c>
      <c r="D6" s="43">
        <f>E6</f>
        <v>0</v>
      </c>
      <c r="E6" s="42">
        <f>IF($B$2&gt;=1,1,0)</f>
        <v>0</v>
      </c>
      <c r="F6" s="44">
        <f>IF(NOT($G6="-"),VLOOKUP($G6,'[1]DrawPrep'!$A$3:$G$10,2,FALSE),"")</f>
        <v>0</v>
      </c>
      <c r="G6" s="44">
        <f>IF($B$2&gt;=1,"-",VLOOKUP($B6,'[1]Setup'!$G$12:$H$27,2,FALSE))</f>
        <v>7</v>
      </c>
      <c r="H6" s="45">
        <f>IF(NOT($G6="-"),VLOOKUP($G6,'[1]DrawPrep'!$A$3:$G$10,6,FALSE),0)</f>
        <v>0</v>
      </c>
      <c r="I6" s="45">
        <f>IF('[1]Setup'!$B$24="#",0,IF(NOT($G6="-"),VLOOKUP($G6,'[1]DrawPrep'!$A$3:$G$10,3,FALSE),0))</f>
        <v>36625</v>
      </c>
      <c r="J6" s="46" t="str">
        <f>IF($I6&gt;0,VLOOKUP($I6,'[1]DrawPrep'!$C$3:$G$10,2,FALSE),"bye")</f>
        <v>ΗΛΙΟΠΟΥΛΟΥ ΑΝΝΑ</v>
      </c>
      <c r="K6" s="46" t="str">
        <f t="shared" si="0"/>
        <v>ΗΛΙΟΠΟΥΛΟΥ</v>
      </c>
      <c r="L6" s="47" t="str">
        <f>IF($I6&gt;0,VLOOKUP($I6,'[1]DrawPrep'!$C$3:$G$10,3,FALSE),"")</f>
        <v>Ο.Α.ΚΑΛΑΜΑΤΑΣ</v>
      </c>
      <c r="M6" s="48"/>
      <c r="N6" s="49"/>
      <c r="O6" s="35">
        <v>1</v>
      </c>
      <c r="P6" s="36" t="str">
        <f>UPPER(IF($A$2="R",IF(OR(O6=1,O6="a"),N5,IF(OR(O6=2,O6="b"),N7,"")),IF(OR(O6=1,O6="a"),N5,IF(OR(O6=2,O6="b"),N7,""))))</f>
        <v>ΚΑΜΠΙΩΤΗ</v>
      </c>
      <c r="Q6" s="37"/>
      <c r="R6" s="38"/>
    </row>
    <row r="7" spans="1:18" ht="12" customHeight="1">
      <c r="A7" s="50">
        <v>3</v>
      </c>
      <c r="B7" s="41">
        <f>2-D7+2</f>
        <v>4</v>
      </c>
      <c r="C7" s="51"/>
      <c r="D7" s="43">
        <f aca="true" t="shared" si="1" ref="D7:D12">D6+E7</f>
        <v>0</v>
      </c>
      <c r="E7" s="52">
        <v>0</v>
      </c>
      <c r="F7" s="53">
        <f>IF(NOT($G7="-"),VLOOKUP($G7,'[1]DrawPrep'!$A$3:$G$10,2,FALSE),"")</f>
        <v>0</v>
      </c>
      <c r="G7" s="53">
        <f>VLOOKUP($B7,'[1]Setup'!$G$12:$H$27,2,FALSE)</f>
        <v>3</v>
      </c>
      <c r="H7" s="54">
        <f>IF($G7&gt;0,VLOOKUP($G7,'[1]DrawPrep'!$A$3:$G$10,6,FALSE),0)</f>
        <v>92</v>
      </c>
      <c r="I7" s="54">
        <f>IF('[1]Setup'!$B$24="#",0,IF($G7&gt;0,VLOOKUP($G7,'[1]DrawPrep'!$A$3:$G$10,3,FALSE),0))</f>
        <v>26219</v>
      </c>
      <c r="J7" s="55" t="str">
        <f>IF($I7&gt;0,VLOOKUP($I7,'[1]DrawPrep'!$C$3:$G$10,2,FALSE),"bye")</f>
        <v>ΚΩΣΤΑ ΑΓΓΕΛΙΚΗ</v>
      </c>
      <c r="K7" s="55" t="str">
        <f t="shared" si="0"/>
        <v>ΚΩΣΤΑ</v>
      </c>
      <c r="L7" s="56" t="str">
        <f>IF($I7&gt;0,VLOOKUP($I7,'[1]DrawPrep'!$C$3:$G$10,3,FALSE),"")</f>
        <v>ΚΟΑ</v>
      </c>
      <c r="M7" s="35">
        <v>2</v>
      </c>
      <c r="N7" s="36" t="str">
        <f>UPPER(IF($A$2="R",IF(OR(M7=1,M7="a"),I7,IF(OR(M7=2,M7="b"),I8,"")),IF(OR(M7=1,M7="a"),K7,IF(OR(M7=2,M7="b"),K8,""))))</f>
        <v>ΚΑΡΟΥΜΠΑΛΗ</v>
      </c>
      <c r="O7" s="48"/>
      <c r="P7" s="49" t="s">
        <v>12</v>
      </c>
      <c r="Q7" s="37"/>
      <c r="R7" s="38"/>
    </row>
    <row r="8" spans="1:18" ht="12" customHeight="1">
      <c r="A8" s="57">
        <v>4</v>
      </c>
      <c r="B8" s="41">
        <f>3-D8+2</f>
        <v>5</v>
      </c>
      <c r="C8" s="42">
        <v>3</v>
      </c>
      <c r="D8" s="43">
        <f t="shared" si="1"/>
        <v>0</v>
      </c>
      <c r="E8" s="42">
        <f>IF($B$2&gt;=3,1,0)</f>
        <v>0</v>
      </c>
      <c r="F8" s="58">
        <f>IF(NOT($G8="-"),VLOOKUP($G8,'[1]DrawPrep'!$A$3:$G$10,2,FALSE),"")</f>
        <v>0</v>
      </c>
      <c r="G8" s="58">
        <f>IF($B$2&gt;=3,"-",VLOOKUP($B8,'[1]Setup'!$G$12:$H$27,2,FALSE))</f>
        <v>8</v>
      </c>
      <c r="H8" s="59">
        <f>IF(NOT($G8="-"),VLOOKUP($G8,'[1]DrawPrep'!$A$3:$G$10,6,FALSE),0)</f>
        <v>0</v>
      </c>
      <c r="I8" s="59">
        <f>IF('[1]Setup'!$B$24="#",0,IF(NOT($G8="-"),VLOOKUP($G8,'[1]DrawPrep'!$A$3:$G$10,3,FALSE),0))</f>
        <v>35616</v>
      </c>
      <c r="J8" s="60" t="str">
        <f>IF($I8&gt;0,VLOOKUP($I8,'[1]DrawPrep'!$C$3:$G$10,2,FALSE),"bye")</f>
        <v>ΚΑΡΟΥΜΠΑΛΗ ΒΑΣΙΛΙΚΗ</v>
      </c>
      <c r="K8" s="60" t="str">
        <f t="shared" si="0"/>
        <v>ΚΑΡΟΥΜΠΑΛΗ</v>
      </c>
      <c r="L8" s="61" t="str">
        <f>IF($I8&gt;0,VLOOKUP($I8,'[1]DrawPrep'!$C$3:$G$10,3,FALSE),"")</f>
        <v>Ο.Α.ΚΑΛΑΜΑΤΑΣ</v>
      </c>
      <c r="M8" s="48"/>
      <c r="N8" s="11"/>
      <c r="O8" s="37"/>
      <c r="P8" s="62"/>
      <c r="Q8" s="63"/>
      <c r="R8" s="64">
        <f>UPPER(IF($A$2="R",IF(OR(Q8=1,Q8="a"),P6,IF(OR(Q8=2,Q8="b"),P10,"")),IF(OR(Q8=1,Q8="a"),P6,IF(OR(Q8=2,Q8="b"),P10,""))))</f>
      </c>
    </row>
    <row r="9" spans="1:18" ht="12" customHeight="1">
      <c r="A9" s="24">
        <v>5</v>
      </c>
      <c r="B9" s="41">
        <f>4-D9+2</f>
        <v>6</v>
      </c>
      <c r="C9" s="51"/>
      <c r="D9" s="43">
        <f t="shared" si="1"/>
        <v>0</v>
      </c>
      <c r="E9" s="52">
        <v>0</v>
      </c>
      <c r="F9" s="29">
        <f>IF(NOT($G9="-"),VLOOKUP($G9,'[1]DrawPrep'!$A$3:$G$10,2,FALSE),"")</f>
        <v>0</v>
      </c>
      <c r="G9" s="29">
        <f>VLOOKUP($B9,'[1]Setup'!$G$12:$H$27,2,FALSE)</f>
        <v>5</v>
      </c>
      <c r="H9" s="65">
        <f>IF($G9&gt;0,VLOOKUP($G9,'[1]DrawPrep'!$A$3:$G$10,6,FALSE),0)</f>
        <v>48</v>
      </c>
      <c r="I9" s="65">
        <f>IF('[1]Setup'!$B$24="#",0,IF($G9&gt;0,VLOOKUP($G9,'[1]DrawPrep'!$A$3:$G$10,3,FALSE),0))</f>
        <v>25783</v>
      </c>
      <c r="J9" s="66" t="str">
        <f>IF($I9&gt;0,VLOOKUP($I9,'[1]DrawPrep'!$C$3:$G$10,2,FALSE),"bye")</f>
        <v>ΜΠΟΥΡΤΣΟΥΚΛΗ ΡΑΦΑΗΛΙΑ</v>
      </c>
      <c r="K9" s="66" t="str">
        <f t="shared" si="0"/>
        <v>ΜΠΟΥΡΤΣΟΥΚΛΗ</v>
      </c>
      <c r="L9" s="67" t="str">
        <f>IF($I9&gt;0,VLOOKUP($I9,'[1]DrawPrep'!$C$3:$G$10,3,FALSE),"")</f>
        <v>ΑΕΚ ΤΡΙΠΟΛΗΣ</v>
      </c>
      <c r="M9" s="68">
        <v>1</v>
      </c>
      <c r="N9" s="36" t="str">
        <f>UPPER(IF($A$2="R",IF(OR(M9=1,M9="a"),I9,IF(OR(M9=2,M9="b"),I10,"")),IF(OR(M9=1,M9="a"),K9,IF(OR(M9=2,M9="b"),K10,""))))</f>
        <v>ΜΠΟΥΡΤΣΟΥΚΛΗ</v>
      </c>
      <c r="O9" s="37"/>
      <c r="P9" s="62"/>
      <c r="Q9" s="37"/>
      <c r="R9" s="69"/>
    </row>
    <row r="10" spans="1:18" ht="12" customHeight="1">
      <c r="A10" s="40">
        <v>6</v>
      </c>
      <c r="B10" s="41">
        <f>5-D10+2</f>
        <v>7</v>
      </c>
      <c r="C10" s="42">
        <v>4</v>
      </c>
      <c r="D10" s="43">
        <f t="shared" si="1"/>
        <v>0</v>
      </c>
      <c r="E10" s="42">
        <f>IF($B$2&gt;=4,1,0)</f>
        <v>0</v>
      </c>
      <c r="F10" s="44">
        <f>IF(NOT($G10="-"),VLOOKUP($G10,'[1]DrawPrep'!$A$3:$G$10,2,FALSE),"")</f>
        <v>0</v>
      </c>
      <c r="G10" s="44">
        <f>IF($B$2&gt;=4,"-",VLOOKUP($B10,'[1]Setup'!$G$12:$H$27,2,FALSE))</f>
        <v>6</v>
      </c>
      <c r="H10" s="45">
        <f>IF(NOT($G10="-"),VLOOKUP($G10,'[1]DrawPrep'!$A$3:$G$10,6,FALSE),0)</f>
        <v>33</v>
      </c>
      <c r="I10" s="45">
        <f>IF('[1]Setup'!$B$24="#",0,IF(NOT($G10="-"),VLOOKUP($G10,'[1]DrawPrep'!$A$3:$G$10,3,FALSE),0))</f>
        <v>29876</v>
      </c>
      <c r="J10" s="46" t="str">
        <f>IF($I10&gt;0,VLOOKUP($I10,'[1]DrawPrep'!$C$3:$G$10,2,FALSE),"bye")</f>
        <v>ΤΣΑΓΓΑΡΗ-ΝΤΥΜΠΑΛΣΚΑ ΕΛΙΣΑΒΕΤ</v>
      </c>
      <c r="K10" s="46" t="str">
        <f t="shared" si="0"/>
        <v>ΤΣΑΓΓΑΡΗ</v>
      </c>
      <c r="L10" s="47" t="str">
        <f>IF($I10&gt;0,VLOOKUP($I10,'[1]DrawPrep'!$C$3:$G$10,3,FALSE),"")</f>
        <v>ΑΕΤ ΝΙΚΗ</v>
      </c>
      <c r="M10" s="48"/>
      <c r="N10" s="49" t="s">
        <v>13</v>
      </c>
      <c r="O10" s="35">
        <v>1</v>
      </c>
      <c r="P10" s="36" t="str">
        <f>UPPER(IF($A$2="R",IF(OR(O10=1,O10="a"),N9,IF(OR(O10=2,O10="b"),N11,"")),IF(OR(O10=1,O10="a"),N9,IF(OR(O10=2,O10="b"),N11,""))))</f>
        <v>ΜΠΟΥΡΤΣΟΥΚΛΗ</v>
      </c>
      <c r="Q10" s="70"/>
      <c r="R10" s="38"/>
    </row>
    <row r="11" spans="1:18" ht="12" customHeight="1">
      <c r="A11" s="50">
        <v>7</v>
      </c>
      <c r="B11" s="41">
        <f>6-D11+2</f>
        <v>8</v>
      </c>
      <c r="C11" s="42">
        <v>2</v>
      </c>
      <c r="D11" s="43">
        <f t="shared" si="1"/>
        <v>0</v>
      </c>
      <c r="E11" s="42">
        <f>IF($B$2&gt;=2,1,0)</f>
        <v>0</v>
      </c>
      <c r="F11" s="53">
        <f>IF(NOT($G11="-"),VLOOKUP($G11,'[1]DrawPrep'!$A$3:$G$10,2,FALSE),"")</f>
        <v>0</v>
      </c>
      <c r="G11" s="53">
        <f>IF($B$2&gt;=2,"-",VLOOKUP($B11,'[1]Setup'!$G$12:$H$27,2,FALSE))</f>
        <v>4</v>
      </c>
      <c r="H11" s="54">
        <f>IF(NOT($G11="-"),VLOOKUP($G11,'[1]DrawPrep'!$A$3:$G$10,6,FALSE),0)</f>
        <v>67</v>
      </c>
      <c r="I11" s="54">
        <f>IF('[1]Setup'!$B$24="#",0,IF(NOT($G11="-"),VLOOKUP($G11,'[1]DrawPrep'!$A$3:$G$10,3,FALSE),0))</f>
        <v>22546</v>
      </c>
      <c r="J11" s="55" t="str">
        <f>IF($I11&gt;0,VLOOKUP($I11,'[1]DrawPrep'!$C$3:$G$10,2,FALSE),"bye")</f>
        <v>ΑΝΤΩΝΙΟΥ ΑΝΑΣΤΑΣΙΑ</v>
      </c>
      <c r="K11" s="55" t="str">
        <f t="shared" si="0"/>
        <v>ΑΝΤΩΝΙΟΥ</v>
      </c>
      <c r="L11" s="56" t="str">
        <f>IF($I11&gt;0,VLOOKUP($I11,'[1]DrawPrep'!$C$3:$G$10,3,FALSE),"")</f>
        <v>ΑΕΚ ΤΡΙΠΟΛΗΣ</v>
      </c>
      <c r="M11" s="35">
        <v>1</v>
      </c>
      <c r="N11" s="36" t="str">
        <f>UPPER(IF($A$2="R",IF(OR(M11=1,M11="a"),I11,IF(OR(M11=2,M11="b"),I12,"")),IF(OR(M11=1,M11="a"),K11,IF(OR(M11=2,M11="b"),K12,""))))</f>
        <v>ΑΝΤΩΝΙΟΥ</v>
      </c>
      <c r="O11" s="48"/>
      <c r="P11" s="71" t="s">
        <v>14</v>
      </c>
      <c r="Q11" s="37"/>
      <c r="R11" s="38"/>
    </row>
    <row r="12" spans="1:18" ht="12" customHeight="1">
      <c r="A12" s="57">
        <v>8</v>
      </c>
      <c r="B12" s="25">
        <v>2</v>
      </c>
      <c r="C12" s="51"/>
      <c r="D12" s="43">
        <f t="shared" si="1"/>
        <v>0</v>
      </c>
      <c r="E12" s="72">
        <v>0</v>
      </c>
      <c r="F12" s="58">
        <f>IF(NOT($G12="-"),VLOOKUP($G12,'[1]DrawPrep'!$A$3:$G$10,2,FALSE),"")</f>
        <v>0</v>
      </c>
      <c r="G12" s="73">
        <f>VLOOKUP($B12,'[1]Setup'!$G$12:$H$27,2,FALSE)</f>
        <v>2</v>
      </c>
      <c r="H12" s="59">
        <f>IF($G12&gt;0,VLOOKUP($G12,'[1]DrawPrep'!$A$3:$G$10,6,FALSE),0)</f>
        <v>92</v>
      </c>
      <c r="I12" s="74">
        <f>IF('[1]Setup'!$B$24="#",0,IF($G12&gt;0,VLOOKUP($G12,'[1]DrawPrep'!$A$3:$G$10,3,FALSE),0))</f>
        <v>28813</v>
      </c>
      <c r="J12" s="75" t="str">
        <f>IF($I12&gt;0,VLOOKUP($I12,'[1]DrawPrep'!$C$3:$G$10,2,FALSE),"bye")</f>
        <v>ΓΡΙΝΕΖΟΥ ΣΟΦΙΑ</v>
      </c>
      <c r="K12" s="75" t="str">
        <f t="shared" si="0"/>
        <v>ΓΡΙΝΕΖΟΥ</v>
      </c>
      <c r="L12" s="76" t="str">
        <f>IF($I12&gt;0,VLOOKUP($I12,'[1]DrawPrep'!$C$3:$G$10,3,FALSE),"")</f>
        <v>ΡΗΓΑΣ ΑΟΑΑ</v>
      </c>
      <c r="M12" s="48"/>
      <c r="N12" s="71" t="s">
        <v>15</v>
      </c>
      <c r="P12" s="38"/>
      <c r="R12" s="38"/>
    </row>
    <row r="13" spans="7:18" ht="11.25">
      <c r="G13" s="77"/>
      <c r="H13" s="77"/>
      <c r="N13" s="79" t="s">
        <v>16</v>
      </c>
      <c r="P13" s="79" t="s">
        <v>16</v>
      </c>
      <c r="R13" s="79"/>
    </row>
    <row r="14" spans="7:16" ht="11.25">
      <c r="G14" s="23"/>
      <c r="H14" s="23"/>
      <c r="P14" s="3"/>
    </row>
    <row r="15" ht="11.25">
      <c r="L15" s="4" t="s">
        <v>21</v>
      </c>
    </row>
    <row r="16" spans="3:18" s="80" customFormat="1" ht="9.75">
      <c r="C16" s="81"/>
      <c r="D16" s="82"/>
      <c r="E16" s="82"/>
      <c r="G16" s="81"/>
      <c r="H16" s="81"/>
      <c r="I16" s="81"/>
      <c r="J16" s="83" t="s">
        <v>17</v>
      </c>
      <c r="L16" s="80" t="s">
        <v>22</v>
      </c>
      <c r="M16" s="84"/>
      <c r="N16" s="82" t="s">
        <v>24</v>
      </c>
      <c r="O16" s="85"/>
      <c r="P16" s="86" t="s">
        <v>18</v>
      </c>
      <c r="Q16" s="83"/>
      <c r="R16" s="83"/>
    </row>
    <row r="17" spans="3:19" s="80" customFormat="1" ht="9.75">
      <c r="C17" s="81"/>
      <c r="D17" s="82"/>
      <c r="E17" s="82"/>
      <c r="G17" s="81"/>
      <c r="H17" s="81"/>
      <c r="I17" s="81"/>
      <c r="J17" s="87" t="str">
        <f>"1. "&amp;IF('[1]Setup'!B19&gt;0,LEFT('[1]DrawPrep'!D3,FIND(" ",'[1]DrawPrep'!D3)+1),"")</f>
        <v>1. ΚΑΜΠΙΩΤΗ Α</v>
      </c>
      <c r="L17" s="80" t="s">
        <v>23</v>
      </c>
      <c r="M17" s="84"/>
      <c r="N17" s="82" t="s">
        <v>25</v>
      </c>
      <c r="O17" s="85"/>
      <c r="P17" s="94" t="str">
        <f>'[1]Setup'!B10</f>
        <v>ΧΡΗΣΤΟΣ ΧΡΙΣΤΟΠΟΥΛΟΣ</v>
      </c>
      <c r="Q17" s="94"/>
      <c r="R17" s="94"/>
      <c r="S17" s="88"/>
    </row>
    <row r="18" spans="3:19" s="80" customFormat="1" ht="9.75">
      <c r="C18" s="81"/>
      <c r="D18" s="82"/>
      <c r="E18" s="82"/>
      <c r="G18" s="81"/>
      <c r="H18" s="81"/>
      <c r="I18" s="81"/>
      <c r="J18" s="87" t="str">
        <f>"2. "&amp;IF('[1]Setup'!B19&gt;1,LEFT('[1]DrawPrep'!D4,FIND(" ",'[1]DrawPrep'!D4)+1),"")</f>
        <v>2. ΓΡΙΝΕΖΟΥ Σ</v>
      </c>
      <c r="L18" s="80" t="s">
        <v>26</v>
      </c>
      <c r="M18" s="84"/>
      <c r="O18" s="85"/>
      <c r="Q18" s="85"/>
      <c r="R18" s="88"/>
      <c r="S18" s="88"/>
    </row>
    <row r="24" ht="11.25">
      <c r="B24" s="4" t="s">
        <v>19</v>
      </c>
    </row>
    <row r="40" ht="11.25">
      <c r="J40" s="89" t="s">
        <v>20</v>
      </c>
    </row>
    <row r="41" ht="11.25">
      <c r="J41" s="90" t="str">
        <f>IF('[1]Setup'!$B$19&gt;0,LEFT('[1]DrawPrep'!D3,FIND(" ",'[1]DrawPrep'!D3)-1))</f>
        <v>ΚΑΜΠΙΩΤΗ</v>
      </c>
    </row>
    <row r="42" ht="11.25">
      <c r="J42" s="90" t="str">
        <f>IF('[1]Setup'!$B$19&gt;1,LEFT('[1]DrawPrep'!D4,FIND(" ",'[1]DrawPrep'!D4)-1))</f>
        <v>ΓΡΙΝΕΖΟΥ</v>
      </c>
    </row>
    <row r="43" ht="12">
      <c r="J43" s="91"/>
    </row>
    <row r="44" ht="12">
      <c r="J44" s="91"/>
    </row>
    <row r="45" ht="12">
      <c r="J45" s="91"/>
    </row>
    <row r="46" ht="12">
      <c r="J46" s="91"/>
    </row>
    <row r="47" ht="12">
      <c r="J47" s="91"/>
    </row>
    <row r="48" ht="12">
      <c r="J48" s="91"/>
    </row>
  </sheetData>
  <sheetProtection/>
  <protectedRanges>
    <protectedRange sqref="G5:G12" name="seeds"/>
    <protectedRange sqref="N6 N8 N10 N12 P11 P7 R9" name="scores"/>
    <protectedRange sqref="M5 M7 M9 M11 O10 O6 Q8" name="winners"/>
  </protectedRanges>
  <mergeCells count="3">
    <mergeCell ref="A1:P1"/>
    <mergeCell ref="J3:L3"/>
    <mergeCell ref="P17:R17"/>
  </mergeCells>
  <conditionalFormatting sqref="N5 N7 N9 N11 P10 P6 R8">
    <cfRule type="expression" priority="1" dxfId="0" stopIfTrue="1">
      <formula>MATCH(N5,$J$41:$J$44,0)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</dc:creator>
  <cp:keywords/>
  <dc:description/>
  <cp:lastModifiedBy>tennis</cp:lastModifiedBy>
  <cp:lastPrinted>2014-10-05T11:30:52Z</cp:lastPrinted>
  <dcterms:created xsi:type="dcterms:W3CDTF">2014-10-05T11:30:40Z</dcterms:created>
  <dcterms:modified xsi:type="dcterms:W3CDTF">2014-10-05T11:48:50Z</dcterms:modified>
  <cp:category/>
  <cp:version/>
  <cp:contentType/>
  <cp:contentStatus/>
</cp:coreProperties>
</file>